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byu-my.sharepoint.com/personal/kotterj_byu_edu/Documents/MRP/Workbooks/Lectures/"/>
    </mc:Choice>
  </mc:AlternateContent>
  <xr:revisionPtr revIDLastSave="0" documentId="11_6B4B713F4C472D3198239F96AC08F4C06B5B0970" xr6:coauthVersionLast="47" xr6:coauthVersionMax="47" xr10:uidLastSave="{00000000-0000-0000-0000-000000000000}"/>
  <bookViews>
    <workbookView xWindow="-120" yWindow="-120" windowWidth="22920" windowHeight="13755" xr2:uid="{00000000-000D-0000-FFFF-FFFF00000000}"/>
  </bookViews>
  <sheets>
    <sheet name="Valuation" sheetId="1" r:id="rId1"/>
    <sheet name="Note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5" i="1" l="1"/>
  <c r="B44" i="1"/>
  <c r="B43" i="1"/>
  <c r="F28" i="1"/>
  <c r="E28" i="1"/>
  <c r="D28" i="1"/>
  <c r="C28" i="1"/>
  <c r="B28" i="1"/>
  <c r="F25" i="1"/>
  <c r="E25" i="1"/>
  <c r="D25" i="1"/>
  <c r="C25" i="1"/>
  <c r="B25" i="1"/>
  <c r="F24" i="1"/>
  <c r="E24" i="1"/>
  <c r="D24" i="1"/>
  <c r="C24" i="1"/>
  <c r="B24" i="1"/>
  <c r="B21" i="1"/>
  <c r="C21" i="1" s="1"/>
  <c r="C22" i="1" l="1"/>
  <c r="C23" i="1" s="1"/>
  <c r="C26" i="1"/>
  <c r="D21" i="1"/>
  <c r="B26" i="1"/>
  <c r="B22" i="1"/>
  <c r="B23" i="1" s="1"/>
  <c r="B27" i="1" l="1"/>
  <c r="D26" i="1"/>
  <c r="E21" i="1"/>
  <c r="D22" i="1"/>
  <c r="D23" i="1" s="1"/>
  <c r="D27" i="1" s="1"/>
  <c r="D29" i="1" s="1"/>
  <c r="C27" i="1"/>
  <c r="C29" i="1" s="1"/>
  <c r="B29" i="1"/>
  <c r="E22" i="1" l="1"/>
  <c r="E23" i="1" s="1"/>
  <c r="E26" i="1"/>
  <c r="F21" i="1"/>
  <c r="E27" i="1" l="1"/>
  <c r="E29" i="1" s="1"/>
  <c r="F26" i="1"/>
  <c r="F22" i="1"/>
  <c r="B38" i="1" l="1"/>
  <c r="F23" i="1"/>
  <c r="F27" i="1" s="1"/>
  <c r="F29" i="1" l="1"/>
  <c r="B30" i="1" s="1"/>
  <c r="B33" i="1"/>
  <c r="B34" i="1" s="1"/>
  <c r="B50" i="1"/>
  <c r="B52" i="1"/>
  <c r="D52" i="1"/>
  <c r="D50" i="1"/>
  <c r="C52" i="1"/>
  <c r="D51" i="1"/>
  <c r="C51" i="1"/>
  <c r="B51" i="1"/>
  <c r="C50" i="1"/>
  <c r="B40" i="1" l="1"/>
  <c r="B39" i="1"/>
  <c r="B35" i="1"/>
  <c r="B36" i="1" l="1"/>
  <c r="B42" i="1" s="1"/>
  <c r="B46" i="1" s="1"/>
  <c r="B47" i="1" s="1"/>
  <c r="B37" i="1" l="1"/>
</calcChain>
</file>

<file path=xl/sharedStrings.xml><?xml version="1.0" encoding="utf-8"?>
<sst xmlns="http://schemas.openxmlformats.org/spreadsheetml/2006/main" count="80" uniqueCount="79">
  <si>
    <t>Rift Valley Cooling — Discounted Cash Flow</t>
  </si>
  <si>
    <t>KSh millions. Video 9.6. Founder asking 480 for 100% of the equity.</t>
  </si>
  <si>
    <t>ASSUMPTIONS  —  change these</t>
  </si>
  <si>
    <t>Year 1 revenue</t>
  </si>
  <si>
    <t>Prior-year revenue, for the Year 1 working-capital movement</t>
  </si>
  <si>
    <t>Revenue growth</t>
  </si>
  <si>
    <t>EBIT margin</t>
  </si>
  <si>
    <t>Depreciation</t>
  </si>
  <si>
    <t>Capital expenditure</t>
  </si>
  <si>
    <t>Working capital, % of revenue change</t>
  </si>
  <si>
    <t>Tax rate</t>
  </si>
  <si>
    <t>Weighted average cost of capital</t>
  </si>
  <si>
    <t>Terminal growth rate</t>
  </si>
  <si>
    <t>Debt</t>
  </si>
  <si>
    <t>Cash</t>
  </si>
  <si>
    <t>Surplus land, not used by the business</t>
  </si>
  <si>
    <t>Asking price for 100% of the equity</t>
  </si>
  <si>
    <t>FREE CASH FLOW TO THE FIRM</t>
  </si>
  <si>
    <t>Year 1</t>
  </si>
  <si>
    <t>Year 2</t>
  </si>
  <si>
    <t>Year 3</t>
  </si>
  <si>
    <t>Year 4</t>
  </si>
  <si>
    <t>Year 5</t>
  </si>
  <si>
    <t>Revenue</t>
  </si>
  <si>
    <t>EBIT</t>
  </si>
  <si>
    <t>NOPAT</t>
  </si>
  <si>
    <t>Add depreciation</t>
  </si>
  <si>
    <t>Less capital expenditure</t>
  </si>
  <si>
    <t>Less increase in working capital</t>
  </si>
  <si>
    <t>Discount factor</t>
  </si>
  <si>
    <t>Present value</t>
  </si>
  <si>
    <t>PV of Years 1 to 5</t>
  </si>
  <si>
    <t>TERMINAL VALUE AND THE BRIDGE</t>
  </si>
  <si>
    <t>Year 6 free cash flow</t>
  </si>
  <si>
    <t>Terminal value, perpetuity</t>
  </si>
  <si>
    <t>Present value of terminal value</t>
  </si>
  <si>
    <t>ENTERPRISE VALUE</t>
  </si>
  <si>
    <t>Share of value in the terminal figure</t>
  </si>
  <si>
    <t>Year 5 EBITDA</t>
  </si>
  <si>
    <t>Implied exit multiple</t>
  </si>
  <si>
    <t>Enterprise value at a 5.5x exit instead</t>
  </si>
  <si>
    <t>Enterprise value</t>
  </si>
  <si>
    <t>Less debt</t>
  </si>
  <si>
    <t>Plus cash</t>
  </si>
  <si>
    <t>Plus surplus land</t>
  </si>
  <si>
    <t>EQUITY VALUE</t>
  </si>
  <si>
    <t>Against the asking price</t>
  </si>
  <si>
    <t>SENSITIVITY  —  equity value, WACC down the side, terminal growth across</t>
  </si>
  <si>
    <t>g = 6%</t>
  </si>
  <si>
    <t>g = 7%</t>
  </si>
  <si>
    <t>g = 8%</t>
  </si>
  <si>
    <t>WACC = 14%</t>
  </si>
  <si>
    <t>WACC = 16%</t>
  </si>
  <si>
    <t>WACC = 18%</t>
  </si>
  <si>
    <t>Only four of the nine cells clear the asking price. The rate moves the answer roughly</t>
  </si>
  <si>
    <t>three times as far as the growth rate does.</t>
  </si>
  <si>
    <t>How to use this workbook</t>
  </si>
  <si>
    <t>Rift Valley Cooling — Week 9. A Nairobi refrigeration and HVAC contractor.</t>
  </si>
  <si>
    <t>Cued by slide 9.6.</t>
  </si>
  <si>
    <t>Note the contrast with the Week 8 model: capital expenditure of 24 exceeds depreciation</t>
  </si>
  <si>
    <t>of 18, deliberately. This is a business that has to keep investing to stay the same size,</t>
  </si>
  <si>
    <t>and the model says so.</t>
  </si>
  <si>
    <t>The result to land:</t>
  </si>
  <si>
    <t>Enterprise value about 485. After the bridge, equity is about 477 against an asking price</t>
  </si>
  <si>
    <t>of 480 — close enough that the decision turns entirely on the discount rate.</t>
  </si>
  <si>
    <t>The implied exit multiple of about 5.7x sits inside the 5-6x range the market pays, so the</t>
  </si>
  <si>
    <t>perpetuity and the multiple agree. That is a genuine cross-check, and it is worth showing.</t>
  </si>
  <si>
    <t>To run the demonstration:</t>
  </si>
  <si>
    <t>1. Build the cash flows and the terminal value. Bridge to equity.</t>
  </si>
  <si>
    <t>2. Show the grid. Only four of nine cells clear 480.</t>
  </si>
  <si>
    <t>3. Change the WACC to 18%. Then put it back and change growth to 8%. The rate moves the</t>
  </si>
  <si>
    <t xml:space="preserve">   answer about three times as far.</t>
  </si>
  <si>
    <t>Cell conventions</t>
  </si>
  <si>
    <t xml:space="preserve">   Blue fill, blue bold  —  an input. Change it and watch the model move.</t>
  </si>
  <si>
    <t xml:space="preserve">   Plain black           —  a formula. Do not overtype it.</t>
  </si>
  <si>
    <t xml:space="preserve">   Brass fill            —  a cell for you to complete.</t>
  </si>
  <si>
    <t xml:space="preserve">   Green bold            —  a result worth reading.</t>
  </si>
  <si>
    <t>Every figure here is checked against the transcripts, chapters, and case briefs.</t>
  </si>
  <si>
    <t>If you change an input, the workbook will no longer match the taught example.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</si>
</sst>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0.0000"/>
    <numFmt numFmtId="166" formatCode="0.00&quot;×&quot;"/>
  </numFmts>
  <fonts count="10" x14ac:knownFonts="1">
    <font>
      <sz val="11"/>
      <color theme="1"/>
      <name val="Calibri"/>
      <family val="2"/>
      <scheme val="minor"/>
    </font>
    <font>
      <b/>
      <sz val="15"/>
      <color rgb="FF0F5C43"/>
      <name val="Calibri"/>
    </font>
    <font>
      <i/>
      <sz val="10"/>
      <color rgb="FF6E7A74"/>
      <name val="Calibri"/>
    </font>
    <font>
      <b/>
      <sz val="10"/>
      <color rgb="FF161C19"/>
      <name val="Calibri"/>
    </font>
    <font>
      <sz val="10"/>
      <color rgb="FF161C19"/>
      <name val="Calibri"/>
    </font>
    <font>
      <b/>
      <sz val="10"/>
      <color rgb="FF1F4E79"/>
      <name val="Calibri"/>
    </font>
    <font>
      <b/>
      <sz val="10"/>
      <color rgb="FFFFFFFF"/>
      <name val="Calibri"/>
    </font>
    <font>
      <b/>
      <sz val="10"/>
      <color rgb="FF0F5C43"/>
      <name val="Calibri"/>
    </font>
    <font>
      <i/>
      <sz val="9"/>
      <color rgb="FF6E7A74"/>
      <name val="Calibri"/>
    </font>
    <font>
      <sz val="10"/>
      <color rgb="FF6E7A74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E7C4"/>
      </patternFill>
    </fill>
    <fill>
      <patternFill patternType="solid">
        <fgColor rgb="FFDCE9F7"/>
      </patternFill>
    </fill>
    <fill>
      <patternFill patternType="solid">
        <fgColor rgb="FF0F5C43"/>
      </patternFill>
    </fill>
  </fills>
  <borders count="4">
    <border>
      <left/>
      <right/>
      <top/>
      <bottom/>
      <diagonal/>
    </border>
    <border>
      <left/>
      <right/>
      <top/>
      <bottom style="thin">
        <color rgb="FF8A6A16"/>
      </bottom>
      <diagonal/>
    </border>
    <border>
      <left style="thin">
        <color rgb="FFBFC8C3"/>
      </left>
      <right style="thin">
        <color rgb="FFBFC8C3"/>
      </right>
      <top style="thin">
        <color rgb="FFBFC8C3"/>
      </top>
      <bottom style="thin">
        <color rgb="FFBFC8C3"/>
      </bottom>
      <diagonal/>
    </border>
    <border>
      <left/>
      <right/>
      <top style="thin">
        <color rgb="FF0F5C43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0" fontId="0" fillId="2" borderId="1" xfId="0" applyFill="1" applyBorder="1"/>
    <xf numFmtId="0" fontId="4" fillId="0" borderId="0" xfId="0" applyFont="1"/>
    <xf numFmtId="4" fontId="5" fillId="3" borderId="2" xfId="0" applyNumberFormat="1" applyFont="1" applyFill="1" applyBorder="1"/>
    <xf numFmtId="164" fontId="5" fillId="3" borderId="2" xfId="0" applyNumberFormat="1" applyFont="1" applyFill="1" applyBorder="1"/>
    <xf numFmtId="0" fontId="6" fillId="4" borderId="1" xfId="0" applyFont="1" applyFill="1" applyBorder="1" applyAlignment="1">
      <alignment horizontal="center"/>
    </xf>
    <xf numFmtId="4" fontId="4" fillId="0" borderId="0" xfId="0" applyNumberFormat="1" applyFont="1"/>
    <xf numFmtId="4" fontId="7" fillId="0" borderId="3" xfId="0" applyNumberFormat="1" applyFont="1" applyBorder="1"/>
    <xf numFmtId="165" fontId="4" fillId="0" borderId="0" xfId="0" applyNumberFormat="1" applyFont="1"/>
    <xf numFmtId="164" fontId="7" fillId="0" borderId="3" xfId="0" applyNumberFormat="1" applyFont="1" applyBorder="1"/>
    <xf numFmtId="166" fontId="7" fillId="0" borderId="3" xfId="0" applyNumberFormat="1" applyFont="1" applyBorder="1"/>
    <xf numFmtId="0" fontId="8" fillId="0" borderId="0" xfId="0" applyFont="1"/>
    <xf numFmtId="0" fontId="4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0" xfId="0" applyFont="1"/>
    <xf numFmtId="0" fontId="9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5"/>
  <sheetViews>
    <sheetView showGridLines="0" tabSelected="1" workbookViewId="0"/>
  </sheetViews>
  <sheetFormatPr defaultRowHeight="15" x14ac:dyDescent="0.25"/>
  <cols>
    <col min="1" max="1" width="46" customWidth="1"/>
    <col min="2" max="6" width="14" customWidth="1"/>
    <col min="7" max="7" width="16" customWidth="1"/>
  </cols>
  <sheetData>
    <row r="1" spans="1:6" ht="19.5" x14ac:dyDescent="0.3">
      <c r="A1" s="1" t="s">
        <v>0</v>
      </c>
    </row>
    <row r="2" spans="1:6" x14ac:dyDescent="0.25">
      <c r="A2" s="2" t="s">
        <v>1</v>
      </c>
    </row>
    <row r="4" spans="1:6" x14ac:dyDescent="0.25">
      <c r="A4" s="3" t="s">
        <v>2</v>
      </c>
      <c r="B4" s="4"/>
      <c r="C4" s="4"/>
      <c r="D4" s="4"/>
      <c r="E4" s="4"/>
      <c r="F4" s="4"/>
    </row>
    <row r="5" spans="1:6" x14ac:dyDescent="0.25">
      <c r="A5" s="5" t="s">
        <v>3</v>
      </c>
      <c r="B5" s="6">
        <v>890</v>
      </c>
    </row>
    <row r="6" spans="1:6" x14ac:dyDescent="0.25">
      <c r="A6" s="5" t="s">
        <v>4</v>
      </c>
      <c r="B6" s="6">
        <v>840</v>
      </c>
    </row>
    <row r="7" spans="1:6" x14ac:dyDescent="0.25">
      <c r="A7" s="5" t="s">
        <v>5</v>
      </c>
      <c r="B7" s="7">
        <v>0.06</v>
      </c>
    </row>
    <row r="8" spans="1:6" x14ac:dyDescent="0.25">
      <c r="A8" s="5" t="s">
        <v>6</v>
      </c>
      <c r="B8" s="7">
        <v>0.09</v>
      </c>
    </row>
    <row r="9" spans="1:6" x14ac:dyDescent="0.25">
      <c r="A9" s="5" t="s">
        <v>7</v>
      </c>
      <c r="B9" s="6">
        <v>18</v>
      </c>
    </row>
    <row r="10" spans="1:6" x14ac:dyDescent="0.25">
      <c r="A10" s="5" t="s">
        <v>8</v>
      </c>
      <c r="B10" s="6">
        <v>24</v>
      </c>
    </row>
    <row r="11" spans="1:6" x14ac:dyDescent="0.25">
      <c r="A11" s="5" t="s">
        <v>9</v>
      </c>
      <c r="B11" s="7">
        <v>0.12</v>
      </c>
    </row>
    <row r="12" spans="1:6" x14ac:dyDescent="0.25">
      <c r="A12" s="5" t="s">
        <v>10</v>
      </c>
      <c r="B12" s="7">
        <v>0.3</v>
      </c>
    </row>
    <row r="13" spans="1:6" x14ac:dyDescent="0.25">
      <c r="A13" s="5" t="s">
        <v>11</v>
      </c>
      <c r="B13" s="7">
        <v>0.16</v>
      </c>
    </row>
    <row r="14" spans="1:6" x14ac:dyDescent="0.25">
      <c r="A14" s="5" t="s">
        <v>12</v>
      </c>
      <c r="B14" s="7">
        <v>7.0000000000000007E-2</v>
      </c>
    </row>
    <row r="15" spans="1:6" x14ac:dyDescent="0.25">
      <c r="A15" s="5" t="s">
        <v>13</v>
      </c>
      <c r="B15" s="6">
        <v>65</v>
      </c>
    </row>
    <row r="16" spans="1:6" x14ac:dyDescent="0.25">
      <c r="A16" s="5" t="s">
        <v>14</v>
      </c>
      <c r="B16" s="6">
        <v>22</v>
      </c>
    </row>
    <row r="17" spans="1:6" x14ac:dyDescent="0.25">
      <c r="A17" s="5" t="s">
        <v>15</v>
      </c>
      <c r="B17" s="6">
        <v>35</v>
      </c>
    </row>
    <row r="18" spans="1:6" x14ac:dyDescent="0.25">
      <c r="A18" s="5" t="s">
        <v>16</v>
      </c>
      <c r="B18" s="6">
        <v>480</v>
      </c>
    </row>
    <row r="20" spans="1:6" x14ac:dyDescent="0.25">
      <c r="A20" s="3" t="s">
        <v>17</v>
      </c>
      <c r="B20" s="8" t="s">
        <v>18</v>
      </c>
      <c r="C20" s="8" t="s">
        <v>19</v>
      </c>
      <c r="D20" s="8" t="s">
        <v>20</v>
      </c>
      <c r="E20" s="8" t="s">
        <v>21</v>
      </c>
      <c r="F20" s="8" t="s">
        <v>22</v>
      </c>
    </row>
    <row r="21" spans="1:6" x14ac:dyDescent="0.25">
      <c r="A21" s="5" t="s">
        <v>23</v>
      </c>
      <c r="B21" s="9">
        <f>$B$5</f>
        <v>890</v>
      </c>
      <c r="C21" s="9">
        <f>B21*(1+$B$7)</f>
        <v>943.40000000000009</v>
      </c>
      <c r="D21" s="9">
        <f>C21*(1+$B$7)</f>
        <v>1000.0040000000001</v>
      </c>
      <c r="E21" s="9">
        <f>D21*(1+$B$7)</f>
        <v>1060.0042400000002</v>
      </c>
      <c r="F21" s="9">
        <f>E21*(1+$B$7)</f>
        <v>1123.6044944000002</v>
      </c>
    </row>
    <row r="22" spans="1:6" x14ac:dyDescent="0.25">
      <c r="A22" s="5" t="s">
        <v>24</v>
      </c>
      <c r="B22" s="9">
        <f>B21*$B$8</f>
        <v>80.099999999999994</v>
      </c>
      <c r="C22" s="9">
        <f>C21*$B$8</f>
        <v>84.906000000000006</v>
      </c>
      <c r="D22" s="9">
        <f>D21*$B$8</f>
        <v>90.000360000000015</v>
      </c>
      <c r="E22" s="9">
        <f>E21*$B$8</f>
        <v>95.400381600000017</v>
      </c>
      <c r="F22" s="9">
        <f>F21*$B$8</f>
        <v>101.12440449600003</v>
      </c>
    </row>
    <row r="23" spans="1:6" x14ac:dyDescent="0.25">
      <c r="A23" s="5" t="s">
        <v>25</v>
      </c>
      <c r="B23" s="9">
        <f>B22*(1-$B$12)</f>
        <v>56.069999999999993</v>
      </c>
      <c r="C23" s="9">
        <f>C22*(1-$B$12)</f>
        <v>59.434199999999997</v>
      </c>
      <c r="D23" s="9">
        <f>D22*(1-$B$12)</f>
        <v>63.000252000000003</v>
      </c>
      <c r="E23" s="9">
        <f>E22*(1-$B$12)</f>
        <v>66.780267120000005</v>
      </c>
      <c r="F23" s="9">
        <f>F22*(1-$B$12)</f>
        <v>70.787083147200008</v>
      </c>
    </row>
    <row r="24" spans="1:6" x14ac:dyDescent="0.25">
      <c r="A24" s="5" t="s">
        <v>26</v>
      </c>
      <c r="B24" s="9">
        <f>$B$9</f>
        <v>18</v>
      </c>
      <c r="C24" s="9">
        <f>$B$9</f>
        <v>18</v>
      </c>
      <c r="D24" s="9">
        <f>$B$9</f>
        <v>18</v>
      </c>
      <c r="E24" s="9">
        <f>$B$9</f>
        <v>18</v>
      </c>
      <c r="F24" s="9">
        <f>$B$9</f>
        <v>18</v>
      </c>
    </row>
    <row r="25" spans="1:6" x14ac:dyDescent="0.25">
      <c r="A25" s="5" t="s">
        <v>27</v>
      </c>
      <c r="B25" s="9">
        <f>-$B$10</f>
        <v>-24</v>
      </c>
      <c r="C25" s="9">
        <f>-$B$10</f>
        <v>-24</v>
      </c>
      <c r="D25" s="9">
        <f>-$B$10</f>
        <v>-24</v>
      </c>
      <c r="E25" s="9">
        <f>-$B$10</f>
        <v>-24</v>
      </c>
      <c r="F25" s="9">
        <f>-$B$10</f>
        <v>-24</v>
      </c>
    </row>
    <row r="26" spans="1:6" x14ac:dyDescent="0.25">
      <c r="A26" s="5" t="s">
        <v>28</v>
      </c>
      <c r="B26" s="9">
        <f>-(B21-$B$6)*$B$11</f>
        <v>-6</v>
      </c>
      <c r="C26" s="9">
        <f>-(C21-B21)*$B$11</f>
        <v>-6.408000000000011</v>
      </c>
      <c r="D26" s="9">
        <f>-(D21-C21)*$B$11</f>
        <v>-6.7924800000000047</v>
      </c>
      <c r="E26" s="9">
        <f>-(E21-D21)*$B$11</f>
        <v>-7.200028800000009</v>
      </c>
      <c r="F26" s="9">
        <f>-(F21-E21)*$B$11</f>
        <v>-7.6320305280000049</v>
      </c>
    </row>
    <row r="27" spans="1:6" x14ac:dyDescent="0.25">
      <c r="A27" s="5" t="s">
        <v>17</v>
      </c>
      <c r="B27" s="10">
        <f>B23+B24+B25+B26</f>
        <v>44.069999999999993</v>
      </c>
      <c r="C27" s="10">
        <f>C23+C24+C25+C26</f>
        <v>47.026199999999996</v>
      </c>
      <c r="D27" s="10">
        <f>D23+D24+D25+D26</f>
        <v>50.207771999999999</v>
      </c>
      <c r="E27" s="10">
        <f>E23+E24+E25+E26</f>
        <v>53.580238319999992</v>
      </c>
      <c r="F27" s="10">
        <f>F23+F24+F25+F26</f>
        <v>57.155052619200006</v>
      </c>
    </row>
    <row r="28" spans="1:6" x14ac:dyDescent="0.25">
      <c r="A28" s="5" t="s">
        <v>29</v>
      </c>
      <c r="B28" s="11">
        <f>1/(1+$B$13)^1</f>
        <v>0.86206896551724144</v>
      </c>
      <c r="C28" s="11">
        <f>1/(1+$B$13)^2</f>
        <v>0.74316290130796681</v>
      </c>
      <c r="D28" s="11">
        <f>1/(1+$B$13)^3</f>
        <v>0.64065767354135073</v>
      </c>
      <c r="E28" s="11">
        <f>1/(1+$B$13)^4</f>
        <v>0.5522910978804747</v>
      </c>
      <c r="F28" s="11">
        <f>1/(1+$B$13)^5</f>
        <v>0.47611301541420237</v>
      </c>
    </row>
    <row r="29" spans="1:6" x14ac:dyDescent="0.25">
      <c r="A29" s="5" t="s">
        <v>30</v>
      </c>
      <c r="B29" s="9">
        <f>B27*B28</f>
        <v>37.991379310344826</v>
      </c>
      <c r="C29" s="9">
        <f>C27*C28</f>
        <v>34.948127229488705</v>
      </c>
      <c r="D29" s="9">
        <f>D27*D28</f>
        <v>32.165994403214569</v>
      </c>
      <c r="E29" s="9">
        <f>E27*E28</f>
        <v>29.591888646450276</v>
      </c>
      <c r="F29" s="9">
        <f>F27*F28</f>
        <v>27.212264448684721</v>
      </c>
    </row>
    <row r="30" spans="1:6" x14ac:dyDescent="0.25">
      <c r="A30" s="5" t="s">
        <v>31</v>
      </c>
      <c r="B30" s="10">
        <f>SUM(B29:F29)</f>
        <v>161.90965403818311</v>
      </c>
    </row>
    <row r="32" spans="1:6" x14ac:dyDescent="0.25">
      <c r="A32" s="3" t="s">
        <v>32</v>
      </c>
      <c r="B32" s="4"/>
      <c r="C32" s="4"/>
      <c r="D32" s="4"/>
      <c r="E32" s="4"/>
      <c r="F32" s="4"/>
    </row>
    <row r="33" spans="1:2" x14ac:dyDescent="0.25">
      <c r="A33" s="5" t="s">
        <v>33</v>
      </c>
      <c r="B33" s="9">
        <f>F27*(1+$B$14)</f>
        <v>61.155906302544011</v>
      </c>
    </row>
    <row r="34" spans="1:2" x14ac:dyDescent="0.25">
      <c r="A34" s="5" t="s">
        <v>34</v>
      </c>
      <c r="B34" s="10">
        <f>B33/($B$13-$B$14)</f>
        <v>679.5100700282668</v>
      </c>
    </row>
    <row r="35" spans="1:2" x14ac:dyDescent="0.25">
      <c r="A35" s="5" t="s">
        <v>35</v>
      </c>
      <c r="B35" s="10">
        <f>B34*F28</f>
        <v>323.52358844547393</v>
      </c>
    </row>
    <row r="36" spans="1:2" x14ac:dyDescent="0.25">
      <c r="A36" s="5" t="s">
        <v>36</v>
      </c>
      <c r="B36" s="10">
        <f>B30+B35</f>
        <v>485.43324248365707</v>
      </c>
    </row>
    <row r="37" spans="1:2" x14ac:dyDescent="0.25">
      <c r="A37" s="5" t="s">
        <v>37</v>
      </c>
      <c r="B37" s="12">
        <f>B35/B36</f>
        <v>0.6664636043263269</v>
      </c>
    </row>
    <row r="38" spans="1:2" x14ac:dyDescent="0.25">
      <c r="A38" s="5" t="s">
        <v>38</v>
      </c>
      <c r="B38" s="9">
        <f>F22+$B$9</f>
        <v>119.12440449600003</v>
      </c>
    </row>
    <row r="39" spans="1:2" x14ac:dyDescent="0.25">
      <c r="A39" s="5" t="s">
        <v>39</v>
      </c>
      <c r="B39" s="13">
        <f>B34/B38</f>
        <v>5.7042053885027686</v>
      </c>
    </row>
    <row r="40" spans="1:2" x14ac:dyDescent="0.25">
      <c r="A40" s="5" t="s">
        <v>40</v>
      </c>
      <c r="B40" s="10">
        <f>B30+5.5*B38*F28</f>
        <v>473.85139092524764</v>
      </c>
    </row>
    <row r="42" spans="1:2" x14ac:dyDescent="0.25">
      <c r="A42" s="5" t="s">
        <v>41</v>
      </c>
      <c r="B42" s="9">
        <f>B36</f>
        <v>485.43324248365707</v>
      </c>
    </row>
    <row r="43" spans="1:2" x14ac:dyDescent="0.25">
      <c r="A43" s="5" t="s">
        <v>42</v>
      </c>
      <c r="B43" s="9">
        <f>-$B$15</f>
        <v>-65</v>
      </c>
    </row>
    <row r="44" spans="1:2" x14ac:dyDescent="0.25">
      <c r="A44" s="5" t="s">
        <v>43</v>
      </c>
      <c r="B44" s="9">
        <f>$B$16</f>
        <v>22</v>
      </c>
    </row>
    <row r="45" spans="1:2" x14ac:dyDescent="0.25">
      <c r="A45" s="5" t="s">
        <v>44</v>
      </c>
      <c r="B45" s="9">
        <f>$B$17</f>
        <v>35</v>
      </c>
    </row>
    <row r="46" spans="1:2" x14ac:dyDescent="0.25">
      <c r="A46" s="5" t="s">
        <v>45</v>
      </c>
      <c r="B46" s="10">
        <f>SUM(B42:B45)</f>
        <v>477.43324248365707</v>
      </c>
    </row>
    <row r="47" spans="1:2" x14ac:dyDescent="0.25">
      <c r="A47" s="5" t="s">
        <v>46</v>
      </c>
      <c r="B47" s="10">
        <f>B46-$B$18</f>
        <v>-2.5667575163429319</v>
      </c>
    </row>
    <row r="49" spans="1:6" x14ac:dyDescent="0.25">
      <c r="A49" s="3" t="s">
        <v>47</v>
      </c>
      <c r="B49" s="8" t="s">
        <v>48</v>
      </c>
      <c r="C49" s="8" t="s">
        <v>49</v>
      </c>
      <c r="D49" s="8" t="s">
        <v>50</v>
      </c>
      <c r="E49" s="4"/>
      <c r="F49" s="4"/>
    </row>
    <row r="50" spans="1:6" x14ac:dyDescent="0.25">
      <c r="A50" s="5" t="s">
        <v>51</v>
      </c>
      <c r="B50" s="9">
        <f>B27/(1+0.14)^1+C27/(1+0.14)^2+D27/(1+0.14)^3+E27/(1+0.14)^4+F27/(1+0.14)^5+(F27*(1+0.06)/(0.14-0.06))/(1+0.14)^5-$B$15+$B$16+$B$17</f>
        <v>555.46038958076997</v>
      </c>
      <c r="C50" s="9">
        <f>B27/(1+0.14)^1+C27/(1+0.14)^2+D27/(1+0.14)^3+E27/(1+0.14)^4+F27/(1+0.14)^5+(F27*(1+0.07)/(0.14-0.07))/(1+0.14)^5-$B$15+$B$16+$B$17</f>
        <v>615.88963852341942</v>
      </c>
      <c r="D50" s="9">
        <f>B27/(1+0.14)^1+C27/(1+0.14)^2+D27/(1+0.14)^3+E27/(1+0.14)^4+F27/(1+0.14)^5+(F27*(1+0.08)/(0.14-0.08))/(1+0.14)^5-$B$15+$B$16+$B$17</f>
        <v>696.46197044695202</v>
      </c>
    </row>
    <row r="51" spans="1:6" x14ac:dyDescent="0.25">
      <c r="A51" s="5" t="s">
        <v>52</v>
      </c>
      <c r="B51" s="9">
        <f>B27/(1+0.16)^1+C27/(1+0.16)^2+D27/(1+0.16)^3+E27/(1+0.16)^4+F27/(1+0.16)^5+(F27*(1+0.06)/(0.16-0.06))/(1+0.16)^5-$B$15+$B$16+$B$17</f>
        <v>442.35965719424109</v>
      </c>
      <c r="C51" s="9">
        <f>B27/(1+0.16)^1+C27/(1+0.16)^2+D27/(1+0.16)^3+E27/(1+0.16)^4+F27/(1+0.16)^5+(F27*(1+0.07)/(0.16-0.07))/(1+0.16)^5-$B$15+$B$16+$B$17</f>
        <v>477.43324248365707</v>
      </c>
      <c r="D51" s="9">
        <f>B27/(1+0.16)^1+C27/(1+0.16)^2+D27/(1+0.16)^3+E27/(1+0.16)^4+F27/(1+0.16)^5+(F27*(1+0.08)/(0.16-0.08))/(1+0.16)^5-$B$15+$B$16+$B$17</f>
        <v>521.27522409542689</v>
      </c>
    </row>
    <row r="52" spans="1:6" x14ac:dyDescent="0.25">
      <c r="A52" s="5" t="s">
        <v>53</v>
      </c>
      <c r="B52" s="9">
        <f>B27/(1+0.18)^1+C27/(1+0.18)^2+D27/(1+0.18)^3+E27/(1+0.18)^4+F27/(1+0.18)^5+(F27*(1+0.06)/(0.18-0.06))/(1+0.18)^5-$B$15+$B$16+$B$17</f>
        <v>366.98120236328703</v>
      </c>
      <c r="C52" s="9">
        <f>B27/(1+0.18)^1+C27/(1+0.18)^2+D27/(1+0.18)^3+E27/(1+0.18)^4+F27/(1+0.18)^5+(F27*(1+0.07)/(0.18-0.07))/(1+0.18)^5-$B$15+$B$16+$B$17</f>
        <v>389.31449046912581</v>
      </c>
      <c r="D52" s="9">
        <f>B27/(1+0.18)^1+C27/(1+0.18)^2+D27/(1+0.18)^3+E27/(1+0.18)^4+F27/(1+0.18)^5+(F27*(1+0.08)/(0.18-0.08))/(1+0.18)^5-$B$15+$B$16+$B$17</f>
        <v>416.11443619613226</v>
      </c>
    </row>
    <row r="54" spans="1:6" x14ac:dyDescent="0.25">
      <c r="A54" s="14" t="s">
        <v>54</v>
      </c>
    </row>
    <row r="55" spans="1:6" x14ac:dyDescent="0.25">
      <c r="A55" s="14" t="s">
        <v>55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1"/>
  <sheetViews>
    <sheetView showGridLines="0" workbookViewId="0"/>
  </sheetViews>
  <sheetFormatPr defaultRowHeight="15" x14ac:dyDescent="0.25"/>
  <cols>
    <col min="1" max="1" width="100" customWidth="1"/>
  </cols>
  <sheetData>
    <row r="1" spans="1:1" ht="19.5" x14ac:dyDescent="0.3">
      <c r="A1" s="1" t="s">
        <v>56</v>
      </c>
    </row>
    <row r="3" spans="1:1" x14ac:dyDescent="0.25">
      <c r="A3" s="15" t="s">
        <v>57</v>
      </c>
    </row>
    <row r="5" spans="1:1" x14ac:dyDescent="0.25">
      <c r="A5" s="15" t="s">
        <v>58</v>
      </c>
    </row>
    <row r="7" spans="1:1" x14ac:dyDescent="0.25">
      <c r="A7" s="15" t="s">
        <v>59</v>
      </c>
    </row>
    <row r="8" spans="1:1" x14ac:dyDescent="0.25">
      <c r="A8" s="15" t="s">
        <v>60</v>
      </c>
    </row>
    <row r="9" spans="1:1" x14ac:dyDescent="0.25">
      <c r="A9" s="15" t="s">
        <v>61</v>
      </c>
    </row>
    <row r="11" spans="1:1" x14ac:dyDescent="0.25">
      <c r="A11" s="16" t="s">
        <v>62</v>
      </c>
    </row>
    <row r="12" spans="1:1" x14ac:dyDescent="0.25">
      <c r="A12" s="15" t="s">
        <v>63</v>
      </c>
    </row>
    <row r="13" spans="1:1" x14ac:dyDescent="0.25">
      <c r="A13" s="15" t="s">
        <v>64</v>
      </c>
    </row>
    <row r="15" spans="1:1" x14ac:dyDescent="0.25">
      <c r="A15" s="15" t="s">
        <v>65</v>
      </c>
    </row>
    <row r="16" spans="1:1" x14ac:dyDescent="0.25">
      <c r="A16" s="15" t="s">
        <v>66</v>
      </c>
    </row>
    <row r="18" spans="1:1" x14ac:dyDescent="0.25">
      <c r="A18" s="16" t="s">
        <v>67</v>
      </c>
    </row>
    <row r="19" spans="1:1" x14ac:dyDescent="0.25">
      <c r="A19" s="15" t="s">
        <v>68</v>
      </c>
    </row>
    <row r="20" spans="1:1" x14ac:dyDescent="0.25">
      <c r="A20" s="15" t="s">
        <v>69</v>
      </c>
    </row>
    <row r="21" spans="1:1" x14ac:dyDescent="0.25">
      <c r="A21" s="15" t="s">
        <v>70</v>
      </c>
    </row>
    <row r="22" spans="1:1" x14ac:dyDescent="0.25">
      <c r="A22" s="15" t="s">
        <v>71</v>
      </c>
    </row>
    <row r="24" spans="1:1" x14ac:dyDescent="0.25">
      <c r="A24" s="17" t="s">
        <v>72</v>
      </c>
    </row>
    <row r="25" spans="1:1" x14ac:dyDescent="0.25">
      <c r="A25" s="18" t="s">
        <v>73</v>
      </c>
    </row>
    <row r="26" spans="1:1" x14ac:dyDescent="0.25">
      <c r="A26" s="18" t="s">
        <v>74</v>
      </c>
    </row>
    <row r="27" spans="1:1" x14ac:dyDescent="0.25">
      <c r="A27" s="18" t="s">
        <v>75</v>
      </c>
    </row>
    <row r="28" spans="1:1" x14ac:dyDescent="0.25">
      <c r="A28" s="18" t="s">
        <v>76</v>
      </c>
    </row>
    <row r="29" spans="1:1" x14ac:dyDescent="0.25">
      <c r="A29" s="5"/>
    </row>
    <row r="30" spans="1:1" x14ac:dyDescent="0.25">
      <c r="A30" s="5" t="s">
        <v>77</v>
      </c>
    </row>
    <row r="31" spans="1:1" x14ac:dyDescent="0.25">
      <c r="A31" s="5" t="s">
        <v>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Valuation</vt:lpstr>
      <vt:lpstr>Notes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Jason Kotter</cp:lastModifiedBy>
  <dcterms:created xsi:type="dcterms:W3CDTF">2026-08-23T13:29:04Z</dcterms:created>
  <dcterms:modified xsi:type="dcterms:W3CDTF">2026-08-23T13:29:18Z</dcterms:modified>
</cp:coreProperties>
</file>